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0" windowHeight="6705" activeTab="3"/>
  </bookViews>
  <sheets>
    <sheet name="Assumptions" sheetId="1" r:id="rId1"/>
    <sheet name="Profit and Loss" sheetId="2" r:id="rId2"/>
    <sheet name="Cash Flows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<sst xmlns="http://schemas.openxmlformats.org/spreadsheetml/2006/main" count="120" uniqueCount="104">
  <si>
    <t>Financial Assumptions:</t>
  </si>
  <si>
    <t>Average Party Revenue:</t>
  </si>
  <si>
    <t>Monthly Capacity</t>
  </si>
  <si>
    <t>Weekly Capacity:</t>
  </si>
  <si>
    <t>Weeks per Month</t>
  </si>
  <si>
    <t>Projected Capacity Use Rate (Quarterly):</t>
  </si>
  <si>
    <t>Capacity Use Rate:</t>
  </si>
  <si>
    <t>Quarter (3 Year Model - 12 Quarters):</t>
  </si>
  <si>
    <t>Fuel / Utilities</t>
  </si>
  <si>
    <t>Other Direct Costs</t>
  </si>
  <si>
    <t>Direct Costs (As a function of Gross Sales):</t>
  </si>
  <si>
    <t>Staff Assumptions (As a function of Gross Sales):</t>
  </si>
  <si>
    <t>Storage and Upkeep Fees (Quarterly):</t>
  </si>
  <si>
    <t>Insurance for Unit and Vehicle (Quarterly):</t>
  </si>
  <si>
    <t>Starting Costs and Expenses:</t>
  </si>
  <si>
    <t>Equipment and Unit Maintenance (Allocated Quarterly)</t>
  </si>
  <si>
    <t>Miscellaneous/Non-Specified Operating Expenses (As a % of Gross Margin)</t>
  </si>
  <si>
    <t>Revenues</t>
  </si>
  <si>
    <t>Q1Y1</t>
  </si>
  <si>
    <t>Q2Y1</t>
  </si>
  <si>
    <t>Q3Y1</t>
  </si>
  <si>
    <t>Q4Y1</t>
  </si>
  <si>
    <t>Y1 ANNUAL</t>
  </si>
  <si>
    <t>Q1Y2</t>
  </si>
  <si>
    <t>Q2Y2</t>
  </si>
  <si>
    <t>Q3Y2</t>
  </si>
  <si>
    <t>Q4Y2</t>
  </si>
  <si>
    <t>Y2 ANNUAL</t>
  </si>
  <si>
    <t>Q1Y3</t>
  </si>
  <si>
    <t>Q2Y3</t>
  </si>
  <si>
    <t>Q3Y3</t>
  </si>
  <si>
    <t>Q4Y3</t>
  </si>
  <si>
    <t>Y3 ANNUAL</t>
  </si>
  <si>
    <t>Sales:</t>
  </si>
  <si>
    <t>Quarterly Capacity</t>
  </si>
  <si>
    <t>Cost of Sales:</t>
  </si>
  <si>
    <t>Marketing (as a % of Gross margin)</t>
  </si>
  <si>
    <t>Gross Profit</t>
  </si>
  <si>
    <t>Gross Margin</t>
  </si>
  <si>
    <t>Operating Expenses:</t>
  </si>
  <si>
    <t>Staff</t>
  </si>
  <si>
    <t>Staff Costs (Only 1 P/T Employee + Owner per Unit)</t>
  </si>
  <si>
    <t>Storage / Upkeep</t>
  </si>
  <si>
    <t>Insurance</t>
  </si>
  <si>
    <t>Marketing</t>
  </si>
  <si>
    <t>Equipment / Unit Maintenance</t>
  </si>
  <si>
    <t>Upgrades/Purchases</t>
  </si>
  <si>
    <t>Upgrades and Operational Purchases (New Games, Controllers, etc.) - Allocated Quarterly</t>
  </si>
  <si>
    <t>Miscellaneous/Non-Specified</t>
  </si>
  <si>
    <t>Total Operating Expenses</t>
  </si>
  <si>
    <t>EBITDA</t>
  </si>
  <si>
    <t>Assets:</t>
  </si>
  <si>
    <t>Capitalized Assets:</t>
  </si>
  <si>
    <t>Unit</t>
  </si>
  <si>
    <t>Depreciation (7 Years - Straightline)</t>
  </si>
  <si>
    <t>Depreciation</t>
  </si>
  <si>
    <t>Interest</t>
  </si>
  <si>
    <t xml:space="preserve"> </t>
  </si>
  <si>
    <t>(NO TAXES - PASS THROUGH COMPANY)</t>
  </si>
  <si>
    <t>Cash Flows</t>
  </si>
  <si>
    <t>Cash Flows from Operations</t>
  </si>
  <si>
    <t>Net Income</t>
  </si>
  <si>
    <t>Profit Margin</t>
  </si>
  <si>
    <t>Depreciation (Add-Back)</t>
  </si>
  <si>
    <t>Capital Expenditures</t>
  </si>
  <si>
    <t>Accounts Receivables</t>
  </si>
  <si>
    <t>(N/A Cash Paid upon Service)</t>
  </si>
  <si>
    <t>Total Cash Flows from Operations</t>
  </si>
  <si>
    <t>Cash Flows from Financing</t>
  </si>
  <si>
    <t>Receipt of Debt Financing</t>
  </si>
  <si>
    <t>Principal Payments</t>
  </si>
  <si>
    <t>Owner Distributions (75% of Profits)</t>
  </si>
  <si>
    <t>Total Cash Flows from Financing</t>
  </si>
  <si>
    <t>Cash Flows from Investing</t>
  </si>
  <si>
    <t>Investments Made</t>
  </si>
  <si>
    <t>Returns Received</t>
  </si>
  <si>
    <t>Total Cash Flows from Investing</t>
  </si>
  <si>
    <t>Cash at the Beginning of the Period</t>
  </si>
  <si>
    <t>(15% of Investment by Owner in 1st Quarter)</t>
  </si>
  <si>
    <t>Total</t>
  </si>
  <si>
    <t>Cash at the End of the Period</t>
  </si>
  <si>
    <t>Annual Balance Sheet</t>
  </si>
  <si>
    <t>Y/E Operating Year - 1</t>
  </si>
  <si>
    <t>Y/E Operating Year - 3</t>
  </si>
  <si>
    <t>Y/E Operating Year - 2</t>
  </si>
  <si>
    <t>Current Assets:</t>
  </si>
  <si>
    <t>Cash Balance</t>
  </si>
  <si>
    <t>Long Term Assets:</t>
  </si>
  <si>
    <t>Accumulated Depreciation</t>
  </si>
  <si>
    <t>Remaining Value</t>
  </si>
  <si>
    <t>Total Assets</t>
  </si>
  <si>
    <t>Liabilities and Owner's Equity</t>
  </si>
  <si>
    <t>Long Term Liabilities:</t>
  </si>
  <si>
    <t>Long Term Debt Note:</t>
  </si>
  <si>
    <t>Accumulated Principal Paid</t>
  </si>
  <si>
    <t>Retained Earnings (25% of Profits)</t>
  </si>
  <si>
    <t>Owner's Equity</t>
  </si>
  <si>
    <t>Total Liabilities and Owner's Equity</t>
  </si>
  <si>
    <t>Unit Sales Per Quarter</t>
  </si>
  <si>
    <t>Unit Sales Per Month</t>
  </si>
  <si>
    <t>Unit Sales Per Week</t>
  </si>
  <si>
    <t>Unit Sales Per Day</t>
  </si>
  <si>
    <t>Total Loan (75% of Total Investment / Owner Will provide 25%)</t>
  </si>
  <si>
    <t>Capitalized Assets (Unit)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</si>
</sst>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u val="single"/>
      <sz val="8"/>
      <name val="Arial"/>
      <family val="0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7">
      <selection activeCell="B39" sqref="B39"/>
    </sheetView>
  </sheetViews>
  <sheetFormatPr defaultColWidth="9.140625" defaultRowHeight="12.75"/>
  <cols>
    <col min="1" max="1" width="65.28125" style="1" bestFit="1" customWidth="1"/>
    <col min="2" max="16" width="20.7109375" style="1" customWidth="1"/>
    <col min="17" max="49" width="9.140625" style="1" customWidth="1"/>
  </cols>
  <sheetData>
    <row r="1" ht="12.75">
      <c r="A1" s="1" t="s">
        <v>0</v>
      </c>
    </row>
    <row r="3" spans="1:2" ht="12.75">
      <c r="A3" s="1" t="s">
        <v>1</v>
      </c>
      <c r="B3" s="4">
        <v>350</v>
      </c>
    </row>
    <row r="4" spans="1:2" ht="12.75">
      <c r="A4" s="1" t="s">
        <v>3</v>
      </c>
      <c r="B4" s="1">
        <v>14</v>
      </c>
    </row>
    <row r="5" spans="1:2" ht="12.75">
      <c r="A5" s="1" t="s">
        <v>4</v>
      </c>
      <c r="B5" s="1">
        <v>4.3</v>
      </c>
    </row>
    <row r="6" spans="1:2" ht="12.75">
      <c r="A6" s="1" t="s">
        <v>2</v>
      </c>
      <c r="B6" s="11">
        <f>B5*B4</f>
        <v>60.199999999999996</v>
      </c>
    </row>
    <row r="7" spans="1:2" ht="12.75">
      <c r="A7" s="1" t="s">
        <v>34</v>
      </c>
      <c r="B7" s="11">
        <f>B6*3</f>
        <v>180.6</v>
      </c>
    </row>
    <row r="9" ht="12.75">
      <c r="A9" s="1" t="s">
        <v>5</v>
      </c>
    </row>
    <row r="10" spans="1:6" ht="12.75">
      <c r="A10" s="2" t="s">
        <v>7</v>
      </c>
      <c r="B10" s="2" t="s">
        <v>6</v>
      </c>
      <c r="C10" s="2" t="s">
        <v>98</v>
      </c>
      <c r="D10" s="1" t="s">
        <v>99</v>
      </c>
      <c r="E10" s="1" t="s">
        <v>100</v>
      </c>
      <c r="F10" s="1" t="s">
        <v>101</v>
      </c>
    </row>
    <row r="11" spans="1:6" ht="12.75">
      <c r="A11" s="1">
        <v>1</v>
      </c>
      <c r="B11" s="3">
        <v>0.5</v>
      </c>
      <c r="C11" s="11">
        <f>B11*B7</f>
        <v>90.3</v>
      </c>
      <c r="D11" s="11">
        <f>C11/3</f>
        <v>30.099999999999998</v>
      </c>
      <c r="E11" s="11">
        <f>D11/4.3</f>
        <v>7</v>
      </c>
      <c r="F11" s="13">
        <f>E11/7</f>
        <v>1</v>
      </c>
    </row>
    <row r="12" spans="1:6" ht="12.75">
      <c r="A12" s="1">
        <v>2</v>
      </c>
      <c r="B12" s="3">
        <v>0.55</v>
      </c>
      <c r="C12" s="11">
        <f>B7*B12</f>
        <v>99.33</v>
      </c>
      <c r="D12" s="11">
        <f aca="true" t="shared" si="0" ref="D12:D22">C12/3</f>
        <v>33.11</v>
      </c>
      <c r="E12" s="11">
        <f aca="true" t="shared" si="1" ref="E12:E22">D12/4.3</f>
        <v>7.7</v>
      </c>
      <c r="F12" s="13">
        <f aca="true" t="shared" si="2" ref="F12:F22">E12/7</f>
        <v>1.1</v>
      </c>
    </row>
    <row r="13" spans="1:6" ht="12.75">
      <c r="A13" s="1">
        <v>3</v>
      </c>
      <c r="B13" s="3">
        <v>0.6</v>
      </c>
      <c r="C13" s="11">
        <f>B13*B7</f>
        <v>108.36</v>
      </c>
      <c r="D13" s="11">
        <f t="shared" si="0"/>
        <v>36.12</v>
      </c>
      <c r="E13" s="11">
        <f t="shared" si="1"/>
        <v>8.4</v>
      </c>
      <c r="F13" s="13">
        <f t="shared" si="2"/>
        <v>1.2</v>
      </c>
    </row>
    <row r="14" spans="1:6" ht="12.75">
      <c r="A14" s="1">
        <v>4</v>
      </c>
      <c r="B14" s="3">
        <v>0.65</v>
      </c>
      <c r="C14" s="11">
        <f>B14*B7</f>
        <v>117.39</v>
      </c>
      <c r="D14" s="11">
        <f t="shared" si="0"/>
        <v>39.13</v>
      </c>
      <c r="E14" s="11">
        <f t="shared" si="1"/>
        <v>9.100000000000001</v>
      </c>
      <c r="F14" s="13">
        <f t="shared" si="2"/>
        <v>1.3000000000000003</v>
      </c>
    </row>
    <row r="15" spans="1:6" ht="12.75">
      <c r="A15" s="1">
        <v>5</v>
      </c>
      <c r="B15" s="3">
        <v>0.7</v>
      </c>
      <c r="C15" s="11">
        <f>B7*B15</f>
        <v>126.41999999999999</v>
      </c>
      <c r="D15" s="11">
        <f t="shared" si="0"/>
        <v>42.13999999999999</v>
      </c>
      <c r="E15" s="11">
        <f t="shared" si="1"/>
        <v>9.799999999999999</v>
      </c>
      <c r="F15" s="13">
        <f t="shared" si="2"/>
        <v>1.4</v>
      </c>
    </row>
    <row r="16" spans="1:6" ht="12.75">
      <c r="A16" s="1">
        <v>6</v>
      </c>
      <c r="B16" s="3">
        <v>0.75</v>
      </c>
      <c r="C16" s="11">
        <f>B16*B7</f>
        <v>135.45</v>
      </c>
      <c r="D16" s="11">
        <f t="shared" si="0"/>
        <v>45.15</v>
      </c>
      <c r="E16" s="11">
        <f t="shared" si="1"/>
        <v>10.5</v>
      </c>
      <c r="F16" s="13">
        <f t="shared" si="2"/>
        <v>1.5</v>
      </c>
    </row>
    <row r="17" spans="1:6" ht="12.75">
      <c r="A17" s="1">
        <v>7</v>
      </c>
      <c r="B17" s="3">
        <v>0.75</v>
      </c>
      <c r="C17" s="11">
        <f>B7*B17</f>
        <v>135.45</v>
      </c>
      <c r="D17" s="11">
        <f t="shared" si="0"/>
        <v>45.15</v>
      </c>
      <c r="E17" s="11">
        <f t="shared" si="1"/>
        <v>10.5</v>
      </c>
      <c r="F17" s="13">
        <f t="shared" si="2"/>
        <v>1.5</v>
      </c>
    </row>
    <row r="18" spans="1:6" ht="12.75">
      <c r="A18" s="1">
        <v>8</v>
      </c>
      <c r="B18" s="3">
        <v>0.8</v>
      </c>
      <c r="C18" s="11">
        <f>B7*B18</f>
        <v>144.48</v>
      </c>
      <c r="D18" s="11">
        <f t="shared" si="0"/>
        <v>48.16</v>
      </c>
      <c r="E18" s="11">
        <f t="shared" si="1"/>
        <v>11.2</v>
      </c>
      <c r="F18" s="13">
        <f t="shared" si="2"/>
        <v>1.5999999999999999</v>
      </c>
    </row>
    <row r="19" spans="1:6" ht="12.75">
      <c r="A19" s="1">
        <v>9</v>
      </c>
      <c r="B19" s="3">
        <v>0.8</v>
      </c>
      <c r="C19" s="11">
        <f>B19*B7</f>
        <v>144.48</v>
      </c>
      <c r="D19" s="11">
        <f t="shared" si="0"/>
        <v>48.16</v>
      </c>
      <c r="E19" s="11">
        <f t="shared" si="1"/>
        <v>11.2</v>
      </c>
      <c r="F19" s="13">
        <f t="shared" si="2"/>
        <v>1.5999999999999999</v>
      </c>
    </row>
    <row r="20" spans="1:6" ht="12.75">
      <c r="A20" s="1">
        <v>10</v>
      </c>
      <c r="B20" s="3">
        <v>0.85</v>
      </c>
      <c r="C20" s="11">
        <f>B20*B7</f>
        <v>153.51</v>
      </c>
      <c r="D20" s="11">
        <f t="shared" si="0"/>
        <v>51.169999999999995</v>
      </c>
      <c r="E20" s="11">
        <f t="shared" si="1"/>
        <v>11.899999999999999</v>
      </c>
      <c r="F20" s="13">
        <f t="shared" si="2"/>
        <v>1.6999999999999997</v>
      </c>
    </row>
    <row r="21" spans="1:6" ht="12.75">
      <c r="A21" s="1">
        <v>11</v>
      </c>
      <c r="B21" s="3">
        <v>0.85</v>
      </c>
      <c r="C21" s="11">
        <f>B7*B21</f>
        <v>153.51</v>
      </c>
      <c r="D21" s="11">
        <f t="shared" si="0"/>
        <v>51.169999999999995</v>
      </c>
      <c r="E21" s="11">
        <f t="shared" si="1"/>
        <v>11.899999999999999</v>
      </c>
      <c r="F21" s="13">
        <f t="shared" si="2"/>
        <v>1.6999999999999997</v>
      </c>
    </row>
    <row r="22" spans="1:6" ht="12.75">
      <c r="A22" s="1">
        <v>12</v>
      </c>
      <c r="B22" s="3">
        <v>0.9</v>
      </c>
      <c r="C22" s="11">
        <f>B22*B7</f>
        <v>162.54</v>
      </c>
      <c r="D22" s="11">
        <f t="shared" si="0"/>
        <v>54.18</v>
      </c>
      <c r="E22" s="11">
        <f t="shared" si="1"/>
        <v>12.6</v>
      </c>
      <c r="F22" s="13">
        <f t="shared" si="2"/>
        <v>1.8</v>
      </c>
    </row>
    <row r="23" ht="12.75">
      <c r="B23" s="3"/>
    </row>
    <row r="24" spans="1:2" ht="12.75">
      <c r="A24" s="1" t="s">
        <v>14</v>
      </c>
      <c r="B24" s="3"/>
    </row>
    <row r="26" ht="12.75">
      <c r="A26" s="1" t="s">
        <v>10</v>
      </c>
    </row>
    <row r="27" spans="1:2" ht="12.75">
      <c r="A27" s="1" t="s">
        <v>8</v>
      </c>
      <c r="B27" s="3">
        <v>0.1</v>
      </c>
    </row>
    <row r="28" spans="1:2" ht="12.75">
      <c r="A28" s="1" t="s">
        <v>9</v>
      </c>
      <c r="B28" s="3">
        <v>0.05</v>
      </c>
    </row>
    <row r="30" ht="12.75">
      <c r="A30" s="1" t="s">
        <v>11</v>
      </c>
    </row>
    <row r="31" spans="1:2" ht="12.75">
      <c r="A31" s="1" t="s">
        <v>41</v>
      </c>
      <c r="B31" s="3">
        <v>0.05</v>
      </c>
    </row>
    <row r="33" spans="1:2" ht="12.75">
      <c r="A33" s="1" t="s">
        <v>12</v>
      </c>
      <c r="B33" s="4">
        <v>600</v>
      </c>
    </row>
    <row r="34" ht="12.75">
      <c r="B34" s="4"/>
    </row>
    <row r="35" spans="1:2" ht="12.75">
      <c r="A35" s="1" t="s">
        <v>13</v>
      </c>
      <c r="B35" s="4">
        <v>600</v>
      </c>
    </row>
    <row r="37" spans="1:2" ht="12.75">
      <c r="A37" s="1" t="s">
        <v>36</v>
      </c>
      <c r="B37" s="3">
        <v>0.05</v>
      </c>
    </row>
    <row r="39" spans="1:2" ht="12.75">
      <c r="A39" s="1" t="s">
        <v>15</v>
      </c>
      <c r="B39" s="4">
        <v>500</v>
      </c>
    </row>
    <row r="40" ht="12.75">
      <c r="B40" s="4"/>
    </row>
    <row r="41" spans="1:2" ht="12.75">
      <c r="A41" s="1" t="s">
        <v>47</v>
      </c>
      <c r="B41" s="4">
        <v>350</v>
      </c>
    </row>
    <row r="43" spans="1:2" ht="12.75">
      <c r="A43" s="1" t="s">
        <v>16</v>
      </c>
      <c r="B43" s="3">
        <v>0.1</v>
      </c>
    </row>
    <row r="45" ht="12.75">
      <c r="A45" s="1" t="s">
        <v>52</v>
      </c>
    </row>
    <row r="47" spans="1:2" ht="12.75">
      <c r="A47" s="1" t="s">
        <v>53</v>
      </c>
      <c r="B47" s="4">
        <v>65000</v>
      </c>
    </row>
    <row r="48" ht="12.75">
      <c r="B48" s="4"/>
    </row>
    <row r="49" spans="1:2" ht="12.75">
      <c r="A49" s="1" t="s">
        <v>79</v>
      </c>
      <c r="B49" s="4">
        <f>SUM(B47:B48)</f>
        <v>65000</v>
      </c>
    </row>
    <row r="50" ht="12.75">
      <c r="B50" s="4"/>
    </row>
    <row r="51" spans="1:2" ht="12.75">
      <c r="A51" s="1" t="s">
        <v>54</v>
      </c>
      <c r="B51" s="4"/>
    </row>
    <row r="52" ht="12.75">
      <c r="B52" s="4"/>
    </row>
    <row r="53" spans="1:2" ht="12.75">
      <c r="A53" s="1" t="s">
        <v>102</v>
      </c>
      <c r="B53" s="4">
        <f>SUM(B47:B48)*0.75</f>
        <v>48750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1.140625" style="1" bestFit="1" customWidth="1"/>
    <col min="2" max="5" width="11.140625" style="1" customWidth="1"/>
    <col min="6" max="6" width="11.140625" style="5" customWidth="1"/>
    <col min="7" max="10" width="11.140625" style="1" customWidth="1"/>
    <col min="11" max="11" width="11.140625" style="5" customWidth="1"/>
    <col min="12" max="15" width="11.140625" style="1" customWidth="1"/>
    <col min="16" max="16" width="11.140625" style="5" customWidth="1"/>
    <col min="17" max="56" width="9.140625" style="1" customWidth="1"/>
  </cols>
  <sheetData>
    <row r="1" ht="12.75">
      <c r="A1" s="1" t="s">
        <v>17</v>
      </c>
    </row>
    <row r="2" spans="1:16" ht="12.75">
      <c r="A2" s="6"/>
      <c r="B2" s="6" t="s">
        <v>18</v>
      </c>
      <c r="C2" s="6" t="s">
        <v>19</v>
      </c>
      <c r="D2" s="6" t="s">
        <v>20</v>
      </c>
      <c r="E2" s="6" t="s">
        <v>21</v>
      </c>
      <c r="F2" s="7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7" t="s">
        <v>27</v>
      </c>
      <c r="L2" s="6" t="s">
        <v>28</v>
      </c>
      <c r="M2" s="6" t="s">
        <v>29</v>
      </c>
      <c r="N2" s="6" t="s">
        <v>30</v>
      </c>
      <c r="O2" s="6" t="s">
        <v>31</v>
      </c>
      <c r="P2" s="7" t="s">
        <v>32</v>
      </c>
    </row>
    <row r="4" spans="1:16" ht="12.75">
      <c r="A4" s="1" t="s">
        <v>33</v>
      </c>
      <c r="B4" s="4">
        <f>Assumptions!B7*Assumptions!B11*Assumptions!B3</f>
        <v>31605</v>
      </c>
      <c r="C4" s="4">
        <f>Assumptions!B12*Assumptions!B7*Assumptions!B3</f>
        <v>34765.5</v>
      </c>
      <c r="D4" s="4">
        <f>Assumptions!B13*Assumptions!B7*Assumptions!B3</f>
        <v>37926</v>
      </c>
      <c r="E4" s="4">
        <f>Assumptions!B3*Assumptions!B7*Assumptions!B14</f>
        <v>41086.5</v>
      </c>
      <c r="F4" s="9">
        <f>SUM(B4:E4)</f>
        <v>145383</v>
      </c>
      <c r="G4" s="4">
        <f>Assumptions!B15*Assumptions!B7*Assumptions!B3</f>
        <v>44246.99999999999</v>
      </c>
      <c r="H4" s="4">
        <f>Assumptions!B16*Assumptions!B7*Assumptions!B3</f>
        <v>47407.49999999999</v>
      </c>
      <c r="I4" s="4">
        <f>Assumptions!B3*Assumptions!B7*Assumptions!B17</f>
        <v>47407.5</v>
      </c>
      <c r="J4" s="4">
        <f>Assumptions!B3*Assumptions!B7*Assumptions!B18</f>
        <v>50568</v>
      </c>
      <c r="K4" s="9">
        <f>SUM(G4:J4)</f>
        <v>189630</v>
      </c>
      <c r="L4" s="4">
        <f>Assumptions!B3*Assumptions!B7*Assumptions!B19</f>
        <v>50568</v>
      </c>
      <c r="M4" s="4">
        <f>Assumptions!B3*Assumptions!B7*Assumptions!B20</f>
        <v>53728.5</v>
      </c>
      <c r="N4" s="4">
        <f>Assumptions!B3*Assumptions!B7*Assumptions!B21</f>
        <v>53728.5</v>
      </c>
      <c r="O4" s="4">
        <f>Assumptions!B3*Assumptions!B7*Assumptions!B22</f>
        <v>56889</v>
      </c>
      <c r="P4" s="9">
        <f>SUM(L4:O4)</f>
        <v>214914</v>
      </c>
    </row>
    <row r="5" spans="2:16" ht="12.75">
      <c r="B5" s="4"/>
      <c r="C5" s="4"/>
      <c r="D5" s="4"/>
      <c r="E5" s="4"/>
      <c r="F5" s="9"/>
      <c r="G5" s="4"/>
      <c r="H5" s="4"/>
      <c r="I5" s="4"/>
      <c r="J5" s="4"/>
      <c r="K5" s="9"/>
      <c r="L5" s="4"/>
      <c r="M5" s="4"/>
      <c r="N5" s="4"/>
      <c r="O5" s="4"/>
      <c r="P5" s="9"/>
    </row>
    <row r="6" spans="1:16" ht="12.75">
      <c r="A6" s="1" t="s">
        <v>35</v>
      </c>
      <c r="B6" s="4"/>
      <c r="C6" s="4"/>
      <c r="D6" s="4"/>
      <c r="E6" s="4"/>
      <c r="F6" s="9"/>
      <c r="G6" s="4"/>
      <c r="H6" s="4"/>
      <c r="I6" s="4"/>
      <c r="J6" s="4"/>
      <c r="K6" s="9"/>
      <c r="L6" s="4"/>
      <c r="M6" s="4"/>
      <c r="N6" s="4"/>
      <c r="O6" s="4"/>
      <c r="P6" s="9"/>
    </row>
    <row r="7" spans="2:16" ht="12.75">
      <c r="B7" s="4"/>
      <c r="C7" s="4"/>
      <c r="D7" s="4"/>
      <c r="E7" s="4"/>
      <c r="F7" s="9"/>
      <c r="G7" s="4"/>
      <c r="H7" s="4"/>
      <c r="I7" s="4"/>
      <c r="J7" s="4"/>
      <c r="K7" s="9"/>
      <c r="L7" s="4"/>
      <c r="M7" s="4"/>
      <c r="N7" s="4"/>
      <c r="O7" s="4"/>
      <c r="P7" s="9"/>
    </row>
    <row r="8" spans="1:16" ht="12.75">
      <c r="A8" s="1" t="str">
        <f>Assumptions!A27</f>
        <v>Fuel / Utilities</v>
      </c>
      <c r="B8" s="4">
        <f>B4*Assumptions!B27</f>
        <v>3160.5</v>
      </c>
      <c r="C8" s="4">
        <f>C4*Assumptions!B27</f>
        <v>3476.55</v>
      </c>
      <c r="D8" s="4">
        <f>D4*Assumptions!B27</f>
        <v>3792.6000000000004</v>
      </c>
      <c r="E8" s="4">
        <f>E4*Assumptions!B27</f>
        <v>4108.650000000001</v>
      </c>
      <c r="F8" s="9">
        <f>SUM(B8:E8)</f>
        <v>14538.300000000003</v>
      </c>
      <c r="G8" s="4">
        <f>G4*Assumptions!B27</f>
        <v>4424.7</v>
      </c>
      <c r="H8" s="4">
        <f>H4*Assumptions!B27</f>
        <v>4740.749999999999</v>
      </c>
      <c r="I8" s="4">
        <f>I4*Assumptions!B27</f>
        <v>4740.75</v>
      </c>
      <c r="J8" s="4">
        <f>J4*Assumptions!B27</f>
        <v>5056.8</v>
      </c>
      <c r="K8" s="9">
        <f>SUM(G8:J8)</f>
        <v>18963</v>
      </c>
      <c r="L8" s="4">
        <f>L4*Assumptions!B27</f>
        <v>5056.8</v>
      </c>
      <c r="M8" s="4">
        <f>M4*Assumptions!B27</f>
        <v>5372.85</v>
      </c>
      <c r="N8" s="4">
        <f>N4*Assumptions!B27</f>
        <v>5372.85</v>
      </c>
      <c r="O8" s="4">
        <f>O4*Assumptions!B27</f>
        <v>5688.900000000001</v>
      </c>
      <c r="P8" s="9">
        <f>SUM(L8:O8)</f>
        <v>21491.4</v>
      </c>
    </row>
    <row r="9" spans="1:16" ht="12.75">
      <c r="A9" s="1" t="str">
        <f>Assumptions!A28</f>
        <v>Other Direct Costs</v>
      </c>
      <c r="B9" s="4">
        <f>B4*Assumptions!B28</f>
        <v>1580.25</v>
      </c>
      <c r="C9" s="4">
        <f>C4*Assumptions!B28</f>
        <v>1738.275</v>
      </c>
      <c r="D9" s="4">
        <f>D4*Assumptions!B28</f>
        <v>1896.3000000000002</v>
      </c>
      <c r="E9" s="4">
        <f>E4*Assumptions!B28</f>
        <v>2054.3250000000003</v>
      </c>
      <c r="F9" s="9">
        <f>SUM(B9:E9)</f>
        <v>7269.1500000000015</v>
      </c>
      <c r="G9" s="4">
        <f>G4*Assumptions!B28</f>
        <v>2212.35</v>
      </c>
      <c r="H9" s="4">
        <f>H4*Assumptions!B28</f>
        <v>2370.3749999999995</v>
      </c>
      <c r="I9" s="4">
        <f>I4*Assumptions!B28</f>
        <v>2370.375</v>
      </c>
      <c r="J9" s="4">
        <f>J4*Assumptions!B28</f>
        <v>2528.4</v>
      </c>
      <c r="K9" s="9">
        <f>SUM(G9:J9)</f>
        <v>9481.5</v>
      </c>
      <c r="L9" s="4">
        <f>L4*Assumptions!B28</f>
        <v>2528.4</v>
      </c>
      <c r="M9" s="4">
        <f>M4*Assumptions!B28</f>
        <v>2686.425</v>
      </c>
      <c r="N9" s="4">
        <f>N4*Assumptions!B28</f>
        <v>2686.425</v>
      </c>
      <c r="O9" s="4">
        <f>O4*Assumptions!B28</f>
        <v>2844.4500000000003</v>
      </c>
      <c r="P9" s="9">
        <f>SUM(L9:O9)</f>
        <v>10745.7</v>
      </c>
    </row>
    <row r="10" spans="2:16" ht="12.75">
      <c r="B10" s="4"/>
      <c r="C10" s="4"/>
      <c r="D10" s="4"/>
      <c r="E10" s="4"/>
      <c r="F10" s="9"/>
      <c r="G10" s="4"/>
      <c r="H10" s="4"/>
      <c r="I10" s="4"/>
      <c r="J10" s="4"/>
      <c r="K10" s="9"/>
      <c r="L10" s="4"/>
      <c r="M10" s="4"/>
      <c r="N10" s="4"/>
      <c r="O10" s="4"/>
      <c r="P10" s="9"/>
    </row>
    <row r="11" spans="1:16" ht="12.75">
      <c r="A11" s="1" t="s">
        <v>37</v>
      </c>
      <c r="B11" s="4">
        <f>SUM(B4-B8-B9)</f>
        <v>26864.25</v>
      </c>
      <c r="C11" s="4">
        <f aca="true" t="shared" si="0" ref="C11:P11">SUM(C4-C8-C9)</f>
        <v>29550.675</v>
      </c>
      <c r="D11" s="4">
        <f t="shared" si="0"/>
        <v>32237.100000000002</v>
      </c>
      <c r="E11" s="4">
        <f t="shared" si="0"/>
        <v>34923.525</v>
      </c>
      <c r="F11" s="9">
        <f t="shared" si="0"/>
        <v>123575.54999999999</v>
      </c>
      <c r="G11" s="4">
        <f t="shared" si="0"/>
        <v>37609.95</v>
      </c>
      <c r="H11" s="4">
        <f t="shared" si="0"/>
        <v>40296.37499999999</v>
      </c>
      <c r="I11" s="4">
        <f t="shared" si="0"/>
        <v>40296.375</v>
      </c>
      <c r="J11" s="4">
        <f t="shared" si="0"/>
        <v>42982.799999999996</v>
      </c>
      <c r="K11" s="9">
        <f t="shared" si="0"/>
        <v>161185.5</v>
      </c>
      <c r="L11" s="4">
        <f t="shared" si="0"/>
        <v>42982.799999999996</v>
      </c>
      <c r="M11" s="4">
        <f t="shared" si="0"/>
        <v>45669.225</v>
      </c>
      <c r="N11" s="4">
        <f t="shared" si="0"/>
        <v>45669.225</v>
      </c>
      <c r="O11" s="4">
        <f t="shared" si="0"/>
        <v>48355.65</v>
      </c>
      <c r="P11" s="9">
        <f t="shared" si="0"/>
        <v>182676.9</v>
      </c>
    </row>
    <row r="12" spans="1:16" ht="12.75">
      <c r="A12" s="1" t="s">
        <v>38</v>
      </c>
      <c r="B12" s="8">
        <f>B11/B4</f>
        <v>0.85</v>
      </c>
      <c r="C12" s="8">
        <f aca="true" t="shared" si="1" ref="C12:P12">C11/C4</f>
        <v>0.85</v>
      </c>
      <c r="D12" s="8">
        <f t="shared" si="1"/>
        <v>0.8500000000000001</v>
      </c>
      <c r="E12" s="8">
        <f t="shared" si="1"/>
        <v>0.8500000000000001</v>
      </c>
      <c r="F12" s="10">
        <f t="shared" si="1"/>
        <v>0.8499999999999999</v>
      </c>
      <c r="G12" s="8">
        <f t="shared" si="1"/>
        <v>0.8500000000000001</v>
      </c>
      <c r="H12" s="8">
        <f t="shared" si="1"/>
        <v>0.85</v>
      </c>
      <c r="I12" s="8">
        <f t="shared" si="1"/>
        <v>0.85</v>
      </c>
      <c r="J12" s="8">
        <f t="shared" si="1"/>
        <v>0.8499999999999999</v>
      </c>
      <c r="K12" s="10">
        <f t="shared" si="1"/>
        <v>0.85</v>
      </c>
      <c r="L12" s="8">
        <f t="shared" si="1"/>
        <v>0.8499999999999999</v>
      </c>
      <c r="M12" s="8">
        <f t="shared" si="1"/>
        <v>0.85</v>
      </c>
      <c r="N12" s="8">
        <f t="shared" si="1"/>
        <v>0.85</v>
      </c>
      <c r="O12" s="8">
        <f t="shared" si="1"/>
        <v>0.85</v>
      </c>
      <c r="P12" s="10">
        <f t="shared" si="1"/>
        <v>0.85</v>
      </c>
    </row>
    <row r="15" ht="12.75">
      <c r="A15" s="1" t="s">
        <v>39</v>
      </c>
    </row>
    <row r="17" spans="1:16" ht="12.75">
      <c r="A17" s="1" t="s">
        <v>40</v>
      </c>
      <c r="B17" s="4">
        <f>Assumptions!B31*'Profit and Loss'!B4</f>
        <v>1580.25</v>
      </c>
      <c r="C17" s="4">
        <f>Assumptions!B31*'Profit and Loss'!C4</f>
        <v>1738.275</v>
      </c>
      <c r="D17" s="4">
        <f>Assumptions!B31*'Profit and Loss'!D4</f>
        <v>1896.3000000000002</v>
      </c>
      <c r="E17" s="4">
        <f>Assumptions!B31*'Profit and Loss'!E4</f>
        <v>2054.3250000000003</v>
      </c>
      <c r="F17" s="9">
        <f>SUM(B17:E17)</f>
        <v>7269.1500000000015</v>
      </c>
      <c r="G17" s="4">
        <f>Assumptions!B31*'Profit and Loss'!G4</f>
        <v>2212.35</v>
      </c>
      <c r="H17" s="4">
        <f>Assumptions!B31*'Profit and Loss'!H4</f>
        <v>2370.3749999999995</v>
      </c>
      <c r="I17" s="4">
        <f>Assumptions!B31*'Profit and Loss'!I4</f>
        <v>2370.375</v>
      </c>
      <c r="J17" s="4">
        <f>Assumptions!B31*'Profit and Loss'!J4</f>
        <v>2528.4</v>
      </c>
      <c r="K17" s="9">
        <f>SUM(G17:J17)</f>
        <v>9481.5</v>
      </c>
      <c r="L17" s="4">
        <f>Assumptions!B31*'Profit and Loss'!L4</f>
        <v>2528.4</v>
      </c>
      <c r="M17" s="4">
        <f>Assumptions!B31*'Profit and Loss'!M4</f>
        <v>2686.425</v>
      </c>
      <c r="N17" s="4">
        <f>Assumptions!B31*'Profit and Loss'!N4</f>
        <v>2686.425</v>
      </c>
      <c r="O17" s="4">
        <f>Assumptions!B31*'Profit and Loss'!O4</f>
        <v>2844.4500000000003</v>
      </c>
      <c r="P17" s="9">
        <f>SUM(L17:O17)</f>
        <v>10745.7</v>
      </c>
    </row>
    <row r="18" spans="1:16" ht="12.75">
      <c r="A18" s="1" t="s">
        <v>42</v>
      </c>
      <c r="B18" s="4">
        <f>Assumptions!B33</f>
        <v>600</v>
      </c>
      <c r="C18" s="4">
        <f aca="true" t="shared" si="2" ref="C18:E19">B18</f>
        <v>600</v>
      </c>
      <c r="D18" s="4">
        <f t="shared" si="2"/>
        <v>600</v>
      </c>
      <c r="E18" s="4">
        <f t="shared" si="2"/>
        <v>600</v>
      </c>
      <c r="F18" s="9">
        <f aca="true" t="shared" si="3" ref="F18:F23">SUM(B18:E18)</f>
        <v>2400</v>
      </c>
      <c r="G18" s="4">
        <f>E18</f>
        <v>600</v>
      </c>
      <c r="H18" s="4">
        <f aca="true" t="shared" si="4" ref="H18:J19">G18</f>
        <v>600</v>
      </c>
      <c r="I18" s="4">
        <f t="shared" si="4"/>
        <v>600</v>
      </c>
      <c r="J18" s="4">
        <f t="shared" si="4"/>
        <v>600</v>
      </c>
      <c r="K18" s="9">
        <f aca="true" t="shared" si="5" ref="K18:K23">SUM(G18:J18)</f>
        <v>2400</v>
      </c>
      <c r="L18" s="4">
        <f>J18</f>
        <v>600</v>
      </c>
      <c r="M18" s="4">
        <f aca="true" t="shared" si="6" ref="M18:O19">L18</f>
        <v>600</v>
      </c>
      <c r="N18" s="4">
        <f t="shared" si="6"/>
        <v>600</v>
      </c>
      <c r="O18" s="4">
        <f t="shared" si="6"/>
        <v>600</v>
      </c>
      <c r="P18" s="9">
        <f aca="true" t="shared" si="7" ref="P18:P23">SUM(L18:O18)</f>
        <v>2400</v>
      </c>
    </row>
    <row r="19" spans="1:16" ht="12.75">
      <c r="A19" s="1" t="s">
        <v>43</v>
      </c>
      <c r="B19" s="4">
        <f>Assumptions!B35</f>
        <v>600</v>
      </c>
      <c r="C19" s="4">
        <f t="shared" si="2"/>
        <v>600</v>
      </c>
      <c r="D19" s="4">
        <f t="shared" si="2"/>
        <v>600</v>
      </c>
      <c r="E19" s="4">
        <f t="shared" si="2"/>
        <v>600</v>
      </c>
      <c r="F19" s="9">
        <f t="shared" si="3"/>
        <v>2400</v>
      </c>
      <c r="G19" s="4">
        <f>E19</f>
        <v>600</v>
      </c>
      <c r="H19" s="4">
        <f t="shared" si="4"/>
        <v>600</v>
      </c>
      <c r="I19" s="4">
        <f t="shared" si="4"/>
        <v>600</v>
      </c>
      <c r="J19" s="4">
        <f t="shared" si="4"/>
        <v>600</v>
      </c>
      <c r="K19" s="9">
        <f t="shared" si="5"/>
        <v>2400</v>
      </c>
      <c r="L19" s="4">
        <f>J19</f>
        <v>600</v>
      </c>
      <c r="M19" s="4">
        <f t="shared" si="6"/>
        <v>600</v>
      </c>
      <c r="N19" s="4">
        <f t="shared" si="6"/>
        <v>600</v>
      </c>
      <c r="O19" s="4">
        <f t="shared" si="6"/>
        <v>600</v>
      </c>
      <c r="P19" s="9">
        <f t="shared" si="7"/>
        <v>2400</v>
      </c>
    </row>
    <row r="20" spans="1:16" ht="12.75">
      <c r="A20" s="1" t="s">
        <v>44</v>
      </c>
      <c r="B20" s="4">
        <f>Assumptions!B37*'Profit and Loss'!B11</f>
        <v>1343.2125</v>
      </c>
      <c r="C20" s="4">
        <f>Assumptions!B37*'Profit and Loss'!C11</f>
        <v>1477.53375</v>
      </c>
      <c r="D20" s="4">
        <f>Assumptions!B37*'Profit and Loss'!D11</f>
        <v>1611.8550000000002</v>
      </c>
      <c r="E20" s="4">
        <f>Assumptions!B37*'Profit and Loss'!E11</f>
        <v>1746.1762500000002</v>
      </c>
      <c r="F20" s="9">
        <f t="shared" si="3"/>
        <v>6178.777500000001</v>
      </c>
      <c r="G20" s="4">
        <f>Assumptions!B37*'Profit and Loss'!G11</f>
        <v>1880.4975</v>
      </c>
      <c r="H20" s="4">
        <f>Assumptions!B37*'Profit and Loss'!H11</f>
        <v>2014.8187499999997</v>
      </c>
      <c r="I20" s="4">
        <f>Assumptions!B37*'Profit and Loss'!I11</f>
        <v>2014.8187500000001</v>
      </c>
      <c r="J20" s="4">
        <f>Assumptions!B37*'Profit and Loss'!J11</f>
        <v>2149.14</v>
      </c>
      <c r="K20" s="9">
        <f t="shared" si="5"/>
        <v>8059.275</v>
      </c>
      <c r="L20" s="4">
        <f>Assumptions!B37*'Profit and Loss'!L11</f>
        <v>2149.14</v>
      </c>
      <c r="M20" s="4">
        <f>Assumptions!B37*'Profit and Loss'!M11</f>
        <v>2283.46125</v>
      </c>
      <c r="N20" s="4">
        <f>Assumptions!B37*'Profit and Loss'!N11</f>
        <v>2283.46125</v>
      </c>
      <c r="O20" s="4">
        <f>Assumptions!B37*'Profit and Loss'!O11</f>
        <v>2417.7825000000003</v>
      </c>
      <c r="P20" s="9">
        <f t="shared" si="7"/>
        <v>9133.845000000001</v>
      </c>
    </row>
    <row r="21" spans="1:16" ht="12.75">
      <c r="A21" s="1" t="s">
        <v>45</v>
      </c>
      <c r="B21" s="4">
        <f>Assumptions!B39</f>
        <v>500</v>
      </c>
      <c r="C21" s="4">
        <f aca="true" t="shared" si="8" ref="C21:E22">B21</f>
        <v>500</v>
      </c>
      <c r="D21" s="4">
        <f t="shared" si="8"/>
        <v>500</v>
      </c>
      <c r="E21" s="4">
        <f t="shared" si="8"/>
        <v>500</v>
      </c>
      <c r="F21" s="9">
        <f t="shared" si="3"/>
        <v>2000</v>
      </c>
      <c r="G21" s="4">
        <f>E21</f>
        <v>500</v>
      </c>
      <c r="H21" s="4">
        <f aca="true" t="shared" si="9" ref="H21:J22">G21</f>
        <v>500</v>
      </c>
      <c r="I21" s="4">
        <f t="shared" si="9"/>
        <v>500</v>
      </c>
      <c r="J21" s="4">
        <f t="shared" si="9"/>
        <v>500</v>
      </c>
      <c r="K21" s="9">
        <f t="shared" si="5"/>
        <v>2000</v>
      </c>
      <c r="L21" s="4">
        <f>J21</f>
        <v>500</v>
      </c>
      <c r="M21" s="4">
        <f aca="true" t="shared" si="10" ref="M21:O22">L21</f>
        <v>500</v>
      </c>
      <c r="N21" s="4">
        <f t="shared" si="10"/>
        <v>500</v>
      </c>
      <c r="O21" s="4">
        <f t="shared" si="10"/>
        <v>500</v>
      </c>
      <c r="P21" s="9">
        <f t="shared" si="7"/>
        <v>2000</v>
      </c>
    </row>
    <row r="22" spans="1:16" ht="12.75">
      <c r="A22" s="1" t="s">
        <v>46</v>
      </c>
      <c r="B22" s="4">
        <f>Assumptions!B41</f>
        <v>350</v>
      </c>
      <c r="C22" s="4">
        <f t="shared" si="8"/>
        <v>350</v>
      </c>
      <c r="D22" s="4">
        <f t="shared" si="8"/>
        <v>350</v>
      </c>
      <c r="E22" s="4">
        <f t="shared" si="8"/>
        <v>350</v>
      </c>
      <c r="F22" s="9">
        <f t="shared" si="3"/>
        <v>1400</v>
      </c>
      <c r="G22" s="4">
        <f>E22</f>
        <v>350</v>
      </c>
      <c r="H22" s="4">
        <f t="shared" si="9"/>
        <v>350</v>
      </c>
      <c r="I22" s="4">
        <f t="shared" si="9"/>
        <v>350</v>
      </c>
      <c r="J22" s="4">
        <f t="shared" si="9"/>
        <v>350</v>
      </c>
      <c r="K22" s="9">
        <f t="shared" si="5"/>
        <v>1400</v>
      </c>
      <c r="L22" s="4">
        <f>J22</f>
        <v>350</v>
      </c>
      <c r="M22" s="4">
        <f t="shared" si="10"/>
        <v>350</v>
      </c>
      <c r="N22" s="4">
        <f t="shared" si="10"/>
        <v>350</v>
      </c>
      <c r="O22" s="4">
        <f t="shared" si="10"/>
        <v>350</v>
      </c>
      <c r="P22" s="9">
        <f t="shared" si="7"/>
        <v>1400</v>
      </c>
    </row>
    <row r="23" spans="1:16" ht="12.75">
      <c r="A23" s="1" t="s">
        <v>48</v>
      </c>
      <c r="B23" s="4">
        <f>Assumptions!B43*'Profit and Loss'!B11</f>
        <v>2686.425</v>
      </c>
      <c r="C23" s="4">
        <f>Assumptions!B43*'Profit and Loss'!C11</f>
        <v>2955.0675</v>
      </c>
      <c r="D23" s="4">
        <f>Assumptions!B43*'Profit and Loss'!D11</f>
        <v>3223.7100000000005</v>
      </c>
      <c r="E23" s="4">
        <f>Assumptions!B43*'Profit and Loss'!E11</f>
        <v>3492.3525000000004</v>
      </c>
      <c r="F23" s="9">
        <f t="shared" si="3"/>
        <v>12357.555000000002</v>
      </c>
      <c r="G23" s="4">
        <f>Assumptions!B43*'Profit and Loss'!G11</f>
        <v>3760.995</v>
      </c>
      <c r="H23" s="4">
        <f>Assumptions!B43*'Profit and Loss'!H11</f>
        <v>4029.6374999999994</v>
      </c>
      <c r="I23" s="4">
        <f>Assumptions!B43*'Profit and Loss'!I11</f>
        <v>4029.6375000000003</v>
      </c>
      <c r="J23" s="4">
        <f>Assumptions!B43*'Profit and Loss'!J11</f>
        <v>4298.28</v>
      </c>
      <c r="K23" s="9">
        <f t="shared" si="5"/>
        <v>16118.55</v>
      </c>
      <c r="L23" s="4">
        <f>Assumptions!B43*'Profit and Loss'!L11</f>
        <v>4298.28</v>
      </c>
      <c r="M23" s="4">
        <f>Assumptions!B43*'Profit and Loss'!M11</f>
        <v>4566.9225</v>
      </c>
      <c r="N23" s="4">
        <f>Assumptions!B43*'Profit and Loss'!N11</f>
        <v>4566.9225</v>
      </c>
      <c r="O23" s="4">
        <f>Assumptions!B43*'Profit and Loss'!O11</f>
        <v>4835.5650000000005</v>
      </c>
      <c r="P23" s="9">
        <f t="shared" si="7"/>
        <v>18267.690000000002</v>
      </c>
    </row>
    <row r="24" spans="2:16" ht="12.75">
      <c r="B24" s="4"/>
      <c r="C24" s="4"/>
      <c r="D24" s="4"/>
      <c r="E24" s="4"/>
      <c r="F24" s="9"/>
      <c r="G24" s="4"/>
      <c r="H24" s="4"/>
      <c r="I24" s="4"/>
      <c r="J24" s="4"/>
      <c r="K24" s="9"/>
      <c r="L24" s="4"/>
      <c r="M24" s="4"/>
      <c r="N24" s="4"/>
      <c r="O24" s="4"/>
      <c r="P24" s="9"/>
    </row>
    <row r="25" spans="1:16" ht="12.75">
      <c r="A25" s="1" t="s">
        <v>49</v>
      </c>
      <c r="B25" s="4">
        <f>SUM(B17:B24)</f>
        <v>7659.8875</v>
      </c>
      <c r="C25" s="4">
        <f aca="true" t="shared" si="11" ref="C25:P25">SUM(C17:C24)</f>
        <v>8220.876250000001</v>
      </c>
      <c r="D25" s="4">
        <f t="shared" si="11"/>
        <v>8781.865000000002</v>
      </c>
      <c r="E25" s="4">
        <f t="shared" si="11"/>
        <v>9342.85375</v>
      </c>
      <c r="F25" s="9">
        <f t="shared" si="11"/>
        <v>34005.482500000006</v>
      </c>
      <c r="G25" s="4">
        <f t="shared" si="11"/>
        <v>9903.842499999999</v>
      </c>
      <c r="H25" s="4">
        <f t="shared" si="11"/>
        <v>10464.83125</v>
      </c>
      <c r="I25" s="4">
        <f t="shared" si="11"/>
        <v>10464.831250000001</v>
      </c>
      <c r="J25" s="4">
        <f t="shared" si="11"/>
        <v>11025.82</v>
      </c>
      <c r="K25" s="9">
        <f t="shared" si="11"/>
        <v>41859.325</v>
      </c>
      <c r="L25" s="4">
        <f t="shared" si="11"/>
        <v>11025.82</v>
      </c>
      <c r="M25" s="4">
        <f t="shared" si="11"/>
        <v>11586.80875</v>
      </c>
      <c r="N25" s="4">
        <f t="shared" si="11"/>
        <v>11586.80875</v>
      </c>
      <c r="O25" s="4">
        <f t="shared" si="11"/>
        <v>12147.7975</v>
      </c>
      <c r="P25" s="9">
        <f t="shared" si="11"/>
        <v>46347.235</v>
      </c>
    </row>
    <row r="26" spans="2:16" ht="12.75">
      <c r="B26" s="4"/>
      <c r="C26" s="4"/>
      <c r="D26" s="4"/>
      <c r="E26" s="4"/>
      <c r="F26" s="9"/>
      <c r="G26" s="4"/>
      <c r="H26" s="4"/>
      <c r="I26" s="4"/>
      <c r="J26" s="4"/>
      <c r="K26" s="9"/>
      <c r="L26" s="4"/>
      <c r="M26" s="4"/>
      <c r="N26" s="4"/>
      <c r="O26" s="4"/>
      <c r="P26" s="9"/>
    </row>
    <row r="27" spans="1:16" ht="12.75">
      <c r="A27" s="1" t="s">
        <v>50</v>
      </c>
      <c r="B27" s="4">
        <f>B11-B25</f>
        <v>19204.3625</v>
      </c>
      <c r="C27" s="4">
        <f aca="true" t="shared" si="12" ref="C27:P27">C11-C25</f>
        <v>21329.798749999998</v>
      </c>
      <c r="D27" s="4">
        <f t="shared" si="12"/>
        <v>23455.235</v>
      </c>
      <c r="E27" s="4">
        <f t="shared" si="12"/>
        <v>25580.67125</v>
      </c>
      <c r="F27" s="9">
        <f t="shared" si="12"/>
        <v>89570.06749999998</v>
      </c>
      <c r="G27" s="4">
        <f t="shared" si="12"/>
        <v>27706.1075</v>
      </c>
      <c r="H27" s="4">
        <f t="shared" si="12"/>
        <v>29831.543749999993</v>
      </c>
      <c r="I27" s="4">
        <f t="shared" si="12"/>
        <v>29831.543749999997</v>
      </c>
      <c r="J27" s="4">
        <f t="shared" si="12"/>
        <v>31956.979999999996</v>
      </c>
      <c r="K27" s="9">
        <f t="shared" si="12"/>
        <v>119326.175</v>
      </c>
      <c r="L27" s="4">
        <f t="shared" si="12"/>
        <v>31956.979999999996</v>
      </c>
      <c r="M27" s="4">
        <f t="shared" si="12"/>
        <v>34082.416249999995</v>
      </c>
      <c r="N27" s="4">
        <f t="shared" si="12"/>
        <v>34082.416249999995</v>
      </c>
      <c r="O27" s="4">
        <f t="shared" si="12"/>
        <v>36207.8525</v>
      </c>
      <c r="P27" s="9">
        <f t="shared" si="12"/>
        <v>136329.66499999998</v>
      </c>
    </row>
    <row r="28" spans="2:16" ht="12.75">
      <c r="B28" s="4"/>
      <c r="C28" s="4"/>
      <c r="D28" s="4"/>
      <c r="E28" s="4"/>
      <c r="F28" s="9"/>
      <c r="G28" s="4"/>
      <c r="H28" s="4"/>
      <c r="I28" s="4"/>
      <c r="J28" s="4"/>
      <c r="K28" s="9"/>
      <c r="L28" s="4"/>
      <c r="M28" s="4"/>
      <c r="N28" s="4"/>
      <c r="O28" s="4"/>
      <c r="P28" s="9"/>
    </row>
    <row r="29" spans="1:16" ht="12.75">
      <c r="A29" s="1" t="s">
        <v>55</v>
      </c>
      <c r="B29" s="4">
        <f>Assumptions!B49/7/4</f>
        <v>2321.4285714285716</v>
      </c>
      <c r="C29" s="4">
        <f>B29</f>
        <v>2321.4285714285716</v>
      </c>
      <c r="D29" s="4">
        <f>C29</f>
        <v>2321.4285714285716</v>
      </c>
      <c r="E29" s="4">
        <f>D29</f>
        <v>2321.4285714285716</v>
      </c>
      <c r="F29" s="9">
        <f>SUM(B29:E29)</f>
        <v>9285.714285714286</v>
      </c>
      <c r="G29" s="4">
        <f>E29</f>
        <v>2321.4285714285716</v>
      </c>
      <c r="H29" s="4">
        <f>G29</f>
        <v>2321.4285714285716</v>
      </c>
      <c r="I29" s="4">
        <f>H29</f>
        <v>2321.4285714285716</v>
      </c>
      <c r="J29" s="4">
        <f>I29</f>
        <v>2321.4285714285716</v>
      </c>
      <c r="K29" s="9">
        <f>SUM(G29:J29)</f>
        <v>9285.714285714286</v>
      </c>
      <c r="L29" s="4">
        <f>J29</f>
        <v>2321.4285714285716</v>
      </c>
      <c r="M29" s="4">
        <f>L29</f>
        <v>2321.4285714285716</v>
      </c>
      <c r="N29" s="4">
        <f>M29</f>
        <v>2321.4285714285716</v>
      </c>
      <c r="O29" s="4">
        <f>N29</f>
        <v>2321.4285714285716</v>
      </c>
      <c r="P29" s="9">
        <f>SUM(L29:O29)</f>
        <v>9285.714285714286</v>
      </c>
    </row>
    <row r="30" spans="2:16" ht="12.75">
      <c r="B30" s="4"/>
      <c r="C30" s="4"/>
      <c r="D30" s="4"/>
      <c r="E30" s="4"/>
      <c r="F30" s="9" t="s">
        <v>57</v>
      </c>
      <c r="G30" s="4"/>
      <c r="H30" s="4"/>
      <c r="I30" s="4"/>
      <c r="J30" s="4"/>
      <c r="K30" s="9" t="s">
        <v>57</v>
      </c>
      <c r="L30" s="4"/>
      <c r="M30" s="4"/>
      <c r="N30" s="4"/>
      <c r="O30" s="4"/>
      <c r="P30" s="9" t="s">
        <v>57</v>
      </c>
    </row>
    <row r="31" spans="1:16" ht="12.75">
      <c r="A31" s="1" t="s">
        <v>56</v>
      </c>
      <c r="B31" s="4">
        <f>(638+639+621)*0.85</f>
        <v>1613.3</v>
      </c>
      <c r="C31" s="4">
        <f>(612+603+595)*0.85</f>
        <v>1538.5</v>
      </c>
      <c r="D31" s="4">
        <f>(586+577+568)*0.85</f>
        <v>1471.35</v>
      </c>
      <c r="E31" s="4">
        <f>(559+550+540)*0.85</f>
        <v>1401.6499999999999</v>
      </c>
      <c r="F31" s="9">
        <f>SUM(B31:E31)</f>
        <v>6024.799999999999</v>
      </c>
      <c r="G31" s="4">
        <f>(532+523+513)*0.85</f>
        <v>1332.8</v>
      </c>
      <c r="H31" s="4">
        <f>(504+494+485)*0.85</f>
        <v>1260.55</v>
      </c>
      <c r="I31" s="4">
        <f>(475+466+456)*0.85</f>
        <v>1187.45</v>
      </c>
      <c r="J31" s="4">
        <f>(446+436+426)*0.85</f>
        <v>1111.8</v>
      </c>
      <c r="K31" s="9">
        <f>SUM(G31:J31)</f>
        <v>4892.6</v>
      </c>
      <c r="L31" s="4">
        <f>(416+406+396)*0.85</f>
        <v>1035.3</v>
      </c>
      <c r="M31" s="4">
        <f>(386+375+364)*0.85</f>
        <v>956.25</v>
      </c>
      <c r="N31" s="4">
        <f>(354+344+333)*0.85</f>
        <v>876.35</v>
      </c>
      <c r="O31" s="4">
        <f>(322+312+301)*0.85</f>
        <v>794.75</v>
      </c>
      <c r="P31" s="9">
        <f>SUM(L31:O31)</f>
        <v>3662.65</v>
      </c>
    </row>
    <row r="33" spans="1:16" ht="12.75">
      <c r="A33" s="1" t="s">
        <v>61</v>
      </c>
      <c r="B33" s="4">
        <f>SUM(B27-B29-B31)</f>
        <v>15269.633928571428</v>
      </c>
      <c r="C33" s="4">
        <f aca="true" t="shared" si="13" ref="C33:P33">SUM(C27-C29-C31)</f>
        <v>17469.870178571426</v>
      </c>
      <c r="D33" s="4">
        <f t="shared" si="13"/>
        <v>19662.45642857143</v>
      </c>
      <c r="E33" s="4">
        <f t="shared" si="13"/>
        <v>21857.592678571425</v>
      </c>
      <c r="F33" s="9">
        <f t="shared" si="13"/>
        <v>74259.55321428568</v>
      </c>
      <c r="G33" s="4">
        <f t="shared" si="13"/>
        <v>24051.878928571427</v>
      </c>
      <c r="H33" s="4">
        <f t="shared" si="13"/>
        <v>26249.56517857142</v>
      </c>
      <c r="I33" s="4">
        <f t="shared" si="13"/>
        <v>26322.665178571424</v>
      </c>
      <c r="J33" s="4">
        <f t="shared" si="13"/>
        <v>28523.751428571424</v>
      </c>
      <c r="K33" s="9">
        <f t="shared" si="13"/>
        <v>105147.8607142857</v>
      </c>
      <c r="L33" s="4">
        <f t="shared" si="13"/>
        <v>28600.251428571424</v>
      </c>
      <c r="M33" s="4">
        <f t="shared" si="13"/>
        <v>30804.737678571422</v>
      </c>
      <c r="N33" s="4">
        <f t="shared" si="13"/>
        <v>30884.637678571424</v>
      </c>
      <c r="O33" s="4">
        <f t="shared" si="13"/>
        <v>33091.67392857143</v>
      </c>
      <c r="P33" s="9">
        <f t="shared" si="13"/>
        <v>123381.3007142857</v>
      </c>
    </row>
    <row r="34" spans="1:16" ht="12.75">
      <c r="A34" s="1" t="s">
        <v>58</v>
      </c>
      <c r="B34" s="4"/>
      <c r="C34" s="4"/>
      <c r="D34" s="4"/>
      <c r="E34" s="4"/>
      <c r="F34" s="9"/>
      <c r="G34" s="4"/>
      <c r="H34" s="4"/>
      <c r="I34" s="4"/>
      <c r="J34" s="4"/>
      <c r="K34" s="9"/>
      <c r="L34" s="4"/>
      <c r="M34" s="4"/>
      <c r="N34" s="4"/>
      <c r="O34" s="4"/>
      <c r="P34" s="9"/>
    </row>
    <row r="35" spans="2:16" ht="12.75">
      <c r="B35" s="4"/>
      <c r="C35" s="4"/>
      <c r="D35" s="4"/>
      <c r="E35" s="4"/>
      <c r="F35" s="9"/>
      <c r="G35" s="4"/>
      <c r="H35" s="4"/>
      <c r="I35" s="4"/>
      <c r="J35" s="4"/>
      <c r="K35" s="9"/>
      <c r="L35" s="4"/>
      <c r="M35" s="4"/>
      <c r="N35" s="4"/>
      <c r="O35" s="4"/>
      <c r="P35" s="9"/>
    </row>
    <row r="36" spans="1:16" ht="12.75">
      <c r="A36" s="1" t="s">
        <v>62</v>
      </c>
      <c r="B36" s="8">
        <f>B33/B4</f>
        <v>0.4831398173887495</v>
      </c>
      <c r="C36" s="8">
        <f aca="true" t="shared" si="14" ref="C36:P36">C33/C4</f>
        <v>0.5025059377420553</v>
      </c>
      <c r="D36" s="8">
        <f t="shared" si="14"/>
        <v>0.5184426627793975</v>
      </c>
      <c r="E36" s="8">
        <f t="shared" si="14"/>
        <v>0.5319896481465062</v>
      </c>
      <c r="F36" s="8">
        <f t="shared" si="14"/>
        <v>0.5107856710501618</v>
      </c>
      <c r="G36" s="8">
        <f t="shared" si="14"/>
        <v>0.5435821395477983</v>
      </c>
      <c r="H36" s="8">
        <f t="shared" si="14"/>
        <v>0.5537006840388425</v>
      </c>
      <c r="I36" s="8">
        <f t="shared" si="14"/>
        <v>0.5552426341522212</v>
      </c>
      <c r="J36" s="8">
        <f t="shared" si="14"/>
        <v>0.5640672248966031</v>
      </c>
      <c r="K36" s="8">
        <f t="shared" si="14"/>
        <v>0.554489588748013</v>
      </c>
      <c r="L36" s="8">
        <f t="shared" si="14"/>
        <v>0.5655800393246999</v>
      </c>
      <c r="M36" s="8">
        <f t="shared" si="14"/>
        <v>0.5733407349650823</v>
      </c>
      <c r="N36" s="8">
        <f t="shared" si="14"/>
        <v>0.5748278414355774</v>
      </c>
      <c r="O36" s="8">
        <f t="shared" si="14"/>
        <v>0.5816884446654261</v>
      </c>
      <c r="P36" s="8">
        <f t="shared" si="14"/>
        <v>0.5740961534115306</v>
      </c>
    </row>
    <row r="37" spans="2:16" ht="12.75">
      <c r="B37" s="4"/>
      <c r="C37" s="4"/>
      <c r="D37" s="4"/>
      <c r="E37" s="4"/>
      <c r="F37" s="9"/>
      <c r="G37" s="4"/>
      <c r="H37" s="4"/>
      <c r="I37" s="4"/>
      <c r="J37" s="4"/>
      <c r="K37" s="9"/>
      <c r="L37" s="4"/>
      <c r="M37" s="4"/>
      <c r="N37" s="4"/>
      <c r="O37" s="4"/>
      <c r="P37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1"/>
  <sheetViews>
    <sheetView zoomScalePageLayoutView="0" workbookViewId="0" topLeftCell="A28">
      <selection activeCell="A28" sqref="A28"/>
    </sheetView>
  </sheetViews>
  <sheetFormatPr defaultColWidth="9.140625" defaultRowHeight="12.75"/>
  <cols>
    <col min="1" max="1" width="33.00390625" style="1" bestFit="1" customWidth="1"/>
    <col min="2" max="58" width="15.7109375" style="1" customWidth="1"/>
  </cols>
  <sheetData>
    <row r="1" ht="12.75">
      <c r="A1" s="1" t="s">
        <v>59</v>
      </c>
    </row>
    <row r="3" spans="2:13" ht="12.75">
      <c r="B3" s="6" t="s">
        <v>18</v>
      </c>
      <c r="C3" s="6" t="s">
        <v>19</v>
      </c>
      <c r="D3" s="6" t="s">
        <v>20</v>
      </c>
      <c r="E3" s="6" t="s">
        <v>21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28</v>
      </c>
      <c r="K3" s="6" t="s">
        <v>29</v>
      </c>
      <c r="L3" s="6" t="s">
        <v>30</v>
      </c>
      <c r="M3" s="6" t="s">
        <v>31</v>
      </c>
    </row>
    <row r="4" ht="12.75">
      <c r="A4" s="1" t="s">
        <v>60</v>
      </c>
    </row>
    <row r="6" spans="1:13" ht="12.75">
      <c r="A6" s="1" t="s">
        <v>61</v>
      </c>
      <c r="B6" s="4">
        <f>'Profit and Loss'!B33</f>
        <v>15269.633928571428</v>
      </c>
      <c r="C6" s="4">
        <f>'Profit and Loss'!C33</f>
        <v>17469.870178571426</v>
      </c>
      <c r="D6" s="4">
        <f>'Profit and Loss'!D33</f>
        <v>19662.45642857143</v>
      </c>
      <c r="E6" s="4">
        <f>'Profit and Loss'!E33</f>
        <v>21857.592678571425</v>
      </c>
      <c r="F6" s="4">
        <f>'Profit and Loss'!G33</f>
        <v>24051.878928571427</v>
      </c>
      <c r="G6" s="4">
        <f>'Profit and Loss'!H33</f>
        <v>26249.56517857142</v>
      </c>
      <c r="H6" s="4">
        <f>'Profit and Loss'!I33</f>
        <v>26322.665178571424</v>
      </c>
      <c r="I6" s="4">
        <f>'Profit and Loss'!J33</f>
        <v>28523.751428571424</v>
      </c>
      <c r="J6" s="4">
        <f>'Profit and Loss'!L33</f>
        <v>28600.251428571424</v>
      </c>
      <c r="K6" s="4">
        <f>'Profit and Loss'!M33</f>
        <v>30804.737678571422</v>
      </c>
      <c r="L6" s="4">
        <f>'Profit and Loss'!N33</f>
        <v>30884.637678571424</v>
      </c>
      <c r="M6" s="4">
        <f>'Profit and Loss'!O33</f>
        <v>33091.67392857143</v>
      </c>
    </row>
    <row r="7" spans="2:1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" t="s">
        <v>63</v>
      </c>
      <c r="B8" s="4">
        <f>'Profit and Loss'!B29</f>
        <v>2321.4285714285716</v>
      </c>
      <c r="C8" s="4">
        <f>'Profit and Loss'!C29</f>
        <v>2321.4285714285716</v>
      </c>
      <c r="D8" s="4">
        <f>'Profit and Loss'!D29</f>
        <v>2321.4285714285716</v>
      </c>
      <c r="E8" s="4">
        <f>'Profit and Loss'!E29</f>
        <v>2321.4285714285716</v>
      </c>
      <c r="F8" s="4">
        <f>'Profit and Loss'!G29</f>
        <v>2321.4285714285716</v>
      </c>
      <c r="G8" s="4">
        <f>'Profit and Loss'!H29</f>
        <v>2321.4285714285716</v>
      </c>
      <c r="H8" s="4">
        <f>'Profit and Loss'!I29</f>
        <v>2321.4285714285716</v>
      </c>
      <c r="I8" s="4">
        <f>'Profit and Loss'!J29</f>
        <v>2321.4285714285716</v>
      </c>
      <c r="J8" s="4">
        <f>'Profit and Loss'!L29</f>
        <v>2321.4285714285716</v>
      </c>
      <c r="K8" s="4">
        <f>'Profit and Loss'!M29</f>
        <v>2321.4285714285716</v>
      </c>
      <c r="L8" s="4">
        <f>'Profit and Loss'!N29</f>
        <v>2321.4285714285716</v>
      </c>
      <c r="M8" s="4">
        <f>'Profit and Loss'!O29</f>
        <v>2321.4285714285716</v>
      </c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" t="s">
        <v>64</v>
      </c>
      <c r="B10" s="4">
        <f>Assumptions!B53</f>
        <v>48750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2:13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 t="s">
        <v>65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1" t="s">
        <v>66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1" t="s">
        <v>67</v>
      </c>
      <c r="B15" s="4">
        <f>SUM(B6+B8-B10+B12)</f>
        <v>-31158.9375</v>
      </c>
      <c r="C15" s="4">
        <f aca="true" t="shared" si="0" ref="C15:M15">SUM(C6+C8-C10+C12)</f>
        <v>19791.298749999998</v>
      </c>
      <c r="D15" s="4">
        <f t="shared" si="0"/>
        <v>21983.885000000002</v>
      </c>
      <c r="E15" s="4">
        <f t="shared" si="0"/>
        <v>24179.021249999998</v>
      </c>
      <c r="F15" s="4">
        <f t="shared" si="0"/>
        <v>26373.3075</v>
      </c>
      <c r="G15" s="4">
        <f t="shared" si="0"/>
        <v>28570.993749999994</v>
      </c>
      <c r="H15" s="4">
        <f t="shared" si="0"/>
        <v>28644.093749999996</v>
      </c>
      <c r="I15" s="4">
        <f t="shared" si="0"/>
        <v>30845.179999999997</v>
      </c>
      <c r="J15" s="4">
        <f t="shared" si="0"/>
        <v>30921.679999999997</v>
      </c>
      <c r="K15" s="4">
        <f t="shared" si="0"/>
        <v>33126.166249999995</v>
      </c>
      <c r="L15" s="4">
        <f t="shared" si="0"/>
        <v>33206.066249999996</v>
      </c>
      <c r="M15" s="4">
        <f t="shared" si="0"/>
        <v>35413.1025</v>
      </c>
    </row>
    <row r="16" spans="2:13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1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1" t="s">
        <v>69</v>
      </c>
      <c r="B20" s="4">
        <f>Assumptions!B53</f>
        <v>48750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1" t="s">
        <v>70</v>
      </c>
      <c r="B22" s="4">
        <f>(1127+1135+1144)*0.85</f>
        <v>2895.1</v>
      </c>
      <c r="C22" s="4">
        <f>(1153+1161+1170)*0.85</f>
        <v>2961.4</v>
      </c>
      <c r="D22" s="4">
        <f>0.85*(1179+1188+1196)</f>
        <v>3028.5499999999997</v>
      </c>
      <c r="E22" s="4">
        <f>0.85*(1205+1214+1224)</f>
        <v>3096.5499999999997</v>
      </c>
      <c r="F22" s="4">
        <f>0.85*(1233+1242+1251)</f>
        <v>3167.1</v>
      </c>
      <c r="G22" s="4">
        <f>0.85*(1261+1270+1280)</f>
        <v>3239.35</v>
      </c>
      <c r="H22" s="4">
        <f>0.85*(1289+1299+1309)</f>
        <v>3312.45</v>
      </c>
      <c r="I22" s="4">
        <f>0.85*(1318+1328+1338)</f>
        <v>3386.4</v>
      </c>
      <c r="J22" s="4">
        <f>0.85*(1348+1358+1369)</f>
        <v>3463.75</v>
      </c>
      <c r="K22" s="4">
        <f>0.85*(1379+1389+1400)</f>
        <v>3542.7999999999997</v>
      </c>
      <c r="L22" s="4">
        <f>0.85*(1410+1421+1431)</f>
        <v>3622.7</v>
      </c>
      <c r="M22" s="4">
        <f>0.85*(1442+1453+1464)</f>
        <v>3705.15</v>
      </c>
    </row>
    <row r="23" spans="2:13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1" t="s">
        <v>71</v>
      </c>
      <c r="B24" s="4">
        <f>B6*0.75</f>
        <v>11452.22544642857</v>
      </c>
      <c r="C24" s="4">
        <f aca="true" t="shared" si="1" ref="C24:M24">C6*0.75</f>
        <v>13102.40263392857</v>
      </c>
      <c r="D24" s="4">
        <f t="shared" si="1"/>
        <v>14746.842321428572</v>
      </c>
      <c r="E24" s="4">
        <f t="shared" si="1"/>
        <v>16393.19450892857</v>
      </c>
      <c r="F24" s="4">
        <f t="shared" si="1"/>
        <v>18038.90919642857</v>
      </c>
      <c r="G24" s="4">
        <f t="shared" si="1"/>
        <v>19687.173883928568</v>
      </c>
      <c r="H24" s="4">
        <f t="shared" si="1"/>
        <v>19741.99888392857</v>
      </c>
      <c r="I24" s="4">
        <f t="shared" si="1"/>
        <v>21392.813571428567</v>
      </c>
      <c r="J24" s="4">
        <f t="shared" si="1"/>
        <v>21450.188571428567</v>
      </c>
      <c r="K24" s="4">
        <f t="shared" si="1"/>
        <v>23103.553258928565</v>
      </c>
      <c r="L24" s="4">
        <f t="shared" si="1"/>
        <v>23163.478258928568</v>
      </c>
      <c r="M24" s="4">
        <f t="shared" si="1"/>
        <v>24818.75544642857</v>
      </c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1" t="s">
        <v>72</v>
      </c>
      <c r="B26" s="4">
        <f>SUM(B20-B22-B24)</f>
        <v>34402.67455357143</v>
      </c>
      <c r="C26" s="4">
        <f aca="true" t="shared" si="2" ref="C26:M26">SUM(C20-C22-C24)</f>
        <v>-16063.80263392857</v>
      </c>
      <c r="D26" s="4">
        <f t="shared" si="2"/>
        <v>-17775.39232142857</v>
      </c>
      <c r="E26" s="4">
        <f t="shared" si="2"/>
        <v>-19489.74450892857</v>
      </c>
      <c r="F26" s="4">
        <f t="shared" si="2"/>
        <v>-21206.009196428568</v>
      </c>
      <c r="G26" s="4">
        <f t="shared" si="2"/>
        <v>-22926.523883928567</v>
      </c>
      <c r="H26" s="4">
        <f t="shared" si="2"/>
        <v>-23054.44888392857</v>
      </c>
      <c r="I26" s="4">
        <f t="shared" si="2"/>
        <v>-24779.21357142857</v>
      </c>
      <c r="J26" s="4">
        <f t="shared" si="2"/>
        <v>-24913.938571428567</v>
      </c>
      <c r="K26" s="4">
        <f t="shared" si="2"/>
        <v>-26646.353258928564</v>
      </c>
      <c r="L26" s="4">
        <f t="shared" si="2"/>
        <v>-26786.17825892857</v>
      </c>
      <c r="M26" s="4">
        <f t="shared" si="2"/>
        <v>-28523.905446428573</v>
      </c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1" t="s">
        <v>73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1" t="s">
        <v>74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2:13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1" t="s">
        <v>75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1" t="s">
        <v>76</v>
      </c>
      <c r="B35" s="4">
        <f>SUM(B31:B34)</f>
        <v>0</v>
      </c>
      <c r="C35" s="4">
        <f aca="true" t="shared" si="3" ref="C35:M35">SUM(C31:C34)</f>
        <v>0</v>
      </c>
      <c r="D35" s="4">
        <f t="shared" si="3"/>
        <v>0</v>
      </c>
      <c r="E35" s="4">
        <f t="shared" si="3"/>
        <v>0</v>
      </c>
      <c r="F35" s="4">
        <f t="shared" si="3"/>
        <v>0</v>
      </c>
      <c r="G35" s="4">
        <f t="shared" si="3"/>
        <v>0</v>
      </c>
      <c r="H35" s="4">
        <f t="shared" si="3"/>
        <v>0</v>
      </c>
      <c r="I35" s="4">
        <f t="shared" si="3"/>
        <v>0</v>
      </c>
      <c r="J35" s="4">
        <f t="shared" si="3"/>
        <v>0</v>
      </c>
      <c r="K35" s="4">
        <f t="shared" si="3"/>
        <v>0</v>
      </c>
      <c r="L35" s="4">
        <f t="shared" si="3"/>
        <v>0</v>
      </c>
      <c r="M35" s="4">
        <f t="shared" si="3"/>
        <v>0</v>
      </c>
    </row>
    <row r="36" spans="2:13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1" t="s">
        <v>77</v>
      </c>
      <c r="B38" s="4">
        <f>(Assumptions!B47+Assumptions!B48)*0.15</f>
        <v>9750</v>
      </c>
      <c r="C38" s="4">
        <f>B41</f>
        <v>12993.737053571429</v>
      </c>
      <c r="D38" s="4">
        <f aca="true" t="shared" si="4" ref="D38:M38">C41</f>
        <v>16721.23316964286</v>
      </c>
      <c r="E38" s="4">
        <f t="shared" si="4"/>
        <v>20929.72584821429</v>
      </c>
      <c r="F38" s="4">
        <f t="shared" si="4"/>
        <v>25619.00258928572</v>
      </c>
      <c r="G38" s="4">
        <f t="shared" si="4"/>
        <v>30786.30089285715</v>
      </c>
      <c r="H38" s="4">
        <f t="shared" si="4"/>
        <v>36430.77075892858</v>
      </c>
      <c r="I38" s="4">
        <f t="shared" si="4"/>
        <v>42020.41562500001</v>
      </c>
      <c r="J38" s="4">
        <f t="shared" si="4"/>
        <v>48086.38205357143</v>
      </c>
      <c r="K38" s="4">
        <f t="shared" si="4"/>
        <v>54094.123482142866</v>
      </c>
      <c r="L38" s="4">
        <f t="shared" si="4"/>
        <v>60573.9364732143</v>
      </c>
      <c r="M38" s="4">
        <f t="shared" si="4"/>
        <v>66993.82446428572</v>
      </c>
    </row>
    <row r="39" spans="1:13" ht="12.75">
      <c r="A39" s="1" t="s">
        <v>78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58" s="12" customFormat="1" ht="12.75">
      <c r="A41" s="5" t="s">
        <v>80</v>
      </c>
      <c r="B41" s="9">
        <f>SUM(B38+B35+B26+B15)</f>
        <v>12993.737053571429</v>
      </c>
      <c r="C41" s="9">
        <f aca="true" t="shared" si="5" ref="C41:M41">SUM(C38+C35+C26+C15)</f>
        <v>16721.23316964286</v>
      </c>
      <c r="D41" s="9">
        <f t="shared" si="5"/>
        <v>20929.72584821429</v>
      </c>
      <c r="E41" s="9">
        <f t="shared" si="5"/>
        <v>25619.00258928572</v>
      </c>
      <c r="F41" s="9">
        <f t="shared" si="5"/>
        <v>30786.30089285715</v>
      </c>
      <c r="G41" s="9">
        <f t="shared" si="5"/>
        <v>36430.77075892858</v>
      </c>
      <c r="H41" s="9">
        <f t="shared" si="5"/>
        <v>42020.41562500001</v>
      </c>
      <c r="I41" s="9">
        <f t="shared" si="5"/>
        <v>48086.38205357143</v>
      </c>
      <c r="J41" s="9">
        <f t="shared" si="5"/>
        <v>54094.123482142866</v>
      </c>
      <c r="K41" s="9">
        <f t="shared" si="5"/>
        <v>60573.9364732143</v>
      </c>
      <c r="L41" s="9">
        <f t="shared" si="5"/>
        <v>66993.82446428572</v>
      </c>
      <c r="M41" s="9">
        <f t="shared" si="5"/>
        <v>73883.02151785715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2" width="25.7109375" style="1" customWidth="1"/>
  </cols>
  <sheetData>
    <row r="1" ht="12.75">
      <c r="A1" s="1" t="s">
        <v>81</v>
      </c>
    </row>
    <row r="3" spans="2:4" ht="12.75">
      <c r="B3" s="1" t="s">
        <v>82</v>
      </c>
      <c r="C3" s="1" t="s">
        <v>84</v>
      </c>
      <c r="D3" s="1" t="s">
        <v>83</v>
      </c>
    </row>
    <row r="5" ht="12.75">
      <c r="A5" s="1" t="s">
        <v>51</v>
      </c>
    </row>
    <row r="7" ht="12.75">
      <c r="A7" s="1" t="s">
        <v>85</v>
      </c>
    </row>
    <row r="9" spans="1:4" ht="12.75">
      <c r="A9" s="1" t="s">
        <v>86</v>
      </c>
      <c r="B9" s="4">
        <f>'Cash Flows'!E41</f>
        <v>25619.00258928572</v>
      </c>
      <c r="C9" s="4">
        <f>'Cash Flows'!I41</f>
        <v>48086.38205357143</v>
      </c>
      <c r="D9" s="4">
        <f>'Cash Flows'!M41</f>
        <v>73883.02151785715</v>
      </c>
    </row>
    <row r="10" spans="2:4" ht="12.75">
      <c r="B10" s="4"/>
      <c r="C10" s="4"/>
      <c r="D10" s="4"/>
    </row>
    <row r="11" spans="1:4" ht="12.75">
      <c r="A11" s="1" t="s">
        <v>87</v>
      </c>
      <c r="B11" s="4"/>
      <c r="C11" s="4"/>
      <c r="D11" s="4"/>
    </row>
    <row r="12" spans="2:4" ht="12.75">
      <c r="B12" s="4"/>
      <c r="C12" s="4"/>
      <c r="D12" s="4"/>
    </row>
    <row r="13" spans="1:4" ht="12.75">
      <c r="A13" s="1" t="s">
        <v>103</v>
      </c>
      <c r="B13" s="4">
        <f>Assumptions!B49</f>
        <v>65000</v>
      </c>
      <c r="C13" s="4">
        <f>B13</f>
        <v>65000</v>
      </c>
      <c r="D13" s="4">
        <f>C13</f>
        <v>65000</v>
      </c>
    </row>
    <row r="14" spans="2:4" ht="12.75">
      <c r="B14" s="4"/>
      <c r="C14" s="4"/>
      <c r="D14" s="4"/>
    </row>
    <row r="15" spans="1:4" ht="12.75">
      <c r="A15" s="1" t="s">
        <v>88</v>
      </c>
      <c r="B15" s="4">
        <f>'Profit and Loss'!F29</f>
        <v>9285.714285714286</v>
      </c>
      <c r="C15" s="4">
        <f>B15+'Profit and Loss'!K29</f>
        <v>18571.428571428572</v>
      </c>
      <c r="D15" s="4">
        <f>C15+'Profit and Loss'!P29</f>
        <v>27857.14285714286</v>
      </c>
    </row>
    <row r="16" spans="2:4" ht="12.75">
      <c r="B16" s="4"/>
      <c r="C16" s="4"/>
      <c r="D16" s="4"/>
    </row>
    <row r="17" spans="1:4" ht="12.75">
      <c r="A17" s="1" t="s">
        <v>89</v>
      </c>
      <c r="B17" s="4">
        <f>B13-B15</f>
        <v>55714.28571428571</v>
      </c>
      <c r="C17" s="4">
        <f>C13-C15</f>
        <v>46428.57142857143</v>
      </c>
      <c r="D17" s="4">
        <f>D13-D15</f>
        <v>37142.857142857145</v>
      </c>
    </row>
    <row r="18" spans="2:4" ht="12.75">
      <c r="B18" s="4"/>
      <c r="C18" s="4"/>
      <c r="D18" s="4"/>
    </row>
    <row r="19" spans="1:4" ht="12.75">
      <c r="A19" s="1" t="s">
        <v>90</v>
      </c>
      <c r="B19" s="4">
        <f>SUM(B17+B9)</f>
        <v>81333.28830357143</v>
      </c>
      <c r="C19" s="4">
        <f>SUM(C17+C9)</f>
        <v>94514.95348214285</v>
      </c>
      <c r="D19" s="4">
        <f>SUM(D17+D9)</f>
        <v>111025.8786607143</v>
      </c>
    </row>
    <row r="20" spans="2:4" ht="12.75">
      <c r="B20" s="4"/>
      <c r="C20" s="4"/>
      <c r="D20" s="4"/>
    </row>
    <row r="21" spans="2:4" ht="12.75">
      <c r="B21" s="4"/>
      <c r="C21" s="4"/>
      <c r="D21" s="4"/>
    </row>
    <row r="22" spans="1:4" ht="12.75">
      <c r="A22" s="1" t="s">
        <v>91</v>
      </c>
      <c r="B22" s="4"/>
      <c r="C22" s="4"/>
      <c r="D22" s="4"/>
    </row>
    <row r="23" spans="2:4" ht="12.75">
      <c r="B23" s="4"/>
      <c r="C23" s="4"/>
      <c r="D23" s="4"/>
    </row>
    <row r="24" spans="1:4" ht="12.75">
      <c r="A24" s="1" t="s">
        <v>92</v>
      </c>
      <c r="B24" s="4"/>
      <c r="C24" s="4"/>
      <c r="D24" s="4"/>
    </row>
    <row r="25" spans="2:4" ht="12.75">
      <c r="B25" s="4"/>
      <c r="C25" s="4"/>
      <c r="D25" s="4"/>
    </row>
    <row r="26" spans="1:4" ht="12.75">
      <c r="A26" s="1" t="s">
        <v>93</v>
      </c>
      <c r="B26" s="4">
        <f>Assumptions!B53</f>
        <v>48750</v>
      </c>
      <c r="C26" s="4">
        <f>B26</f>
        <v>48750</v>
      </c>
      <c r="D26" s="4">
        <f>C26</f>
        <v>48750</v>
      </c>
    </row>
    <row r="27" spans="2:4" ht="12.75">
      <c r="B27" s="4"/>
      <c r="C27" s="4"/>
      <c r="D27" s="4"/>
    </row>
    <row r="28" spans="1:4" ht="12.75">
      <c r="A28" s="1" t="s">
        <v>94</v>
      </c>
      <c r="B28" s="4">
        <f>SUM('Cash Flows'!B22:E22)</f>
        <v>11981.599999999999</v>
      </c>
      <c r="C28" s="4">
        <f>SUM('Cash Flows'!F22:I22)+B28</f>
        <v>25086.899999999998</v>
      </c>
      <c r="D28" s="4">
        <f>SUM('Cash Flows'!J22:M22)+C28</f>
        <v>39421.299999999996</v>
      </c>
    </row>
    <row r="29" spans="2:4" ht="12.75">
      <c r="B29" s="4"/>
      <c r="C29" s="4"/>
      <c r="D29" s="4"/>
    </row>
    <row r="30" spans="1:4" ht="12.75">
      <c r="A30" s="1" t="s">
        <v>89</v>
      </c>
      <c r="B30" s="4">
        <f>B26-B28</f>
        <v>36768.4</v>
      </c>
      <c r="C30" s="4">
        <f>C26-C28</f>
        <v>23663.100000000002</v>
      </c>
      <c r="D30" s="4">
        <f>D26-D28</f>
        <v>9328.700000000004</v>
      </c>
    </row>
    <row r="31" spans="2:4" ht="12.75">
      <c r="B31" s="4"/>
      <c r="C31" s="4"/>
      <c r="D31" s="4"/>
    </row>
    <row r="32" spans="1:4" ht="12.75">
      <c r="A32" s="1" t="s">
        <v>95</v>
      </c>
      <c r="B32" s="4">
        <f>'Profit and Loss'!F33*0.25</f>
        <v>18564.88830357142</v>
      </c>
      <c r="C32" s="4">
        <f>'Profit and Loss'!K33*0.25</f>
        <v>26286.965178571427</v>
      </c>
      <c r="D32" s="4">
        <f>'Profit and Loss'!P33*0.25</f>
        <v>30845.325178571424</v>
      </c>
    </row>
    <row r="33" spans="2:4" ht="12.75">
      <c r="B33" s="4"/>
      <c r="C33" s="4"/>
      <c r="D33" s="4"/>
    </row>
    <row r="34" spans="1:4" ht="12.75">
      <c r="A34" s="1" t="s">
        <v>96</v>
      </c>
      <c r="B34" s="4">
        <f>B19-B30-B32</f>
        <v>26000.00000000001</v>
      </c>
      <c r="C34" s="4">
        <f>C19-C30-C32</f>
        <v>44564.888303571424</v>
      </c>
      <c r="D34" s="4">
        <f>D19-D30-D32</f>
        <v>70851.85348214288</v>
      </c>
    </row>
    <row r="35" spans="2:4" ht="12.75">
      <c r="B35" s="4"/>
      <c r="C35" s="4"/>
      <c r="D35" s="4"/>
    </row>
    <row r="36" spans="1:4" ht="12.75">
      <c r="A36" s="1" t="s">
        <v>97</v>
      </c>
      <c r="B36" s="4">
        <f>SUM(B30:B35)</f>
        <v>81333.28830357143</v>
      </c>
      <c r="C36" s="4">
        <f>SUM(C30:C35)</f>
        <v>94514.95348214285</v>
      </c>
      <c r="D36" s="4">
        <f>SUM(D30:D35)</f>
        <v>111025.87866071431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edward horner</cp:lastModifiedBy>
  <dcterms:created xsi:type="dcterms:W3CDTF">2010-08-04T16:53:56Z</dcterms:created>
  <dcterms:modified xsi:type="dcterms:W3CDTF">2019-12-12T15:04:12Z</dcterms:modified>
  <cp:category/>
  <cp:version/>
  <cp:contentType/>
  <cp:contentStatus/>
</cp:coreProperties>
</file>